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<sst xmlns="http://schemas.openxmlformats.org/spreadsheetml/2006/main" count="89" uniqueCount="78">
  <si>
    <t>Site</t>
  </si>
  <si>
    <t>Meter</t>
  </si>
  <si>
    <t>Actual</t>
  </si>
  <si>
    <t>Albion</t>
  </si>
  <si>
    <t>Amesbury</t>
  </si>
  <si>
    <t>Baycrest</t>
  </si>
  <si>
    <t>Centennial Park</t>
  </si>
  <si>
    <t>Central Arena</t>
  </si>
  <si>
    <t>Chris Tonks</t>
  </si>
  <si>
    <t>Commander Park</t>
  </si>
  <si>
    <t>Don Mills</t>
  </si>
  <si>
    <t>Downsview</t>
  </si>
  <si>
    <t>East York Curling</t>
  </si>
  <si>
    <t>East York Memorial</t>
  </si>
  <si>
    <t>Fenside</t>
  </si>
  <si>
    <t>Gord &amp; Irene Risk CC</t>
  </si>
  <si>
    <t>Habitant</t>
  </si>
  <si>
    <t>Herbert H Carnegie</t>
  </si>
  <si>
    <t>Heron Park</t>
  </si>
  <si>
    <t>John Booth</t>
  </si>
  <si>
    <t>Lambton</t>
  </si>
  <si>
    <t>Long Branch</t>
  </si>
  <si>
    <t>Malvern</t>
  </si>
  <si>
    <t>McGregor</t>
  </si>
  <si>
    <t>Adjustment</t>
  </si>
  <si>
    <t>Mitchel Field</t>
  </si>
  <si>
    <t>Oriole</t>
  </si>
  <si>
    <t>Otter</t>
  </si>
  <si>
    <t>Phil White</t>
  </si>
  <si>
    <t>Pine Point</t>
  </si>
  <si>
    <t>Pleasantview</t>
  </si>
  <si>
    <t>Scarborough Gardens</t>
  </si>
  <si>
    <t>Scarborough Village CC</t>
  </si>
  <si>
    <t>Tam Heather</t>
  </si>
  <si>
    <t>Ted Reeve</t>
  </si>
  <si>
    <t>York Mills</t>
  </si>
  <si>
    <t>notes</t>
  </si>
  <si>
    <t>BYA1</t>
  </si>
  <si>
    <t>1,BYA3</t>
  </si>
  <si>
    <t>BYA14</t>
  </si>
  <si>
    <t>1,BYA12</t>
  </si>
  <si>
    <t>1,BYA11</t>
  </si>
  <si>
    <t>Glen Long</t>
  </si>
  <si>
    <t>1,BYA16</t>
  </si>
  <si>
    <t>1,BYA5</t>
  </si>
  <si>
    <t>1,BYA7</t>
  </si>
  <si>
    <t>1,BYA6</t>
  </si>
  <si>
    <t>1,BYA4</t>
  </si>
  <si>
    <t>1,BYA13</t>
  </si>
  <si>
    <t>1,BYA15</t>
  </si>
  <si>
    <t>1,BYA2</t>
  </si>
  <si>
    <t>1,BYA8</t>
  </si>
  <si>
    <t>1,BYA9</t>
  </si>
  <si>
    <t>1,BYA10</t>
  </si>
  <si>
    <t>Estimated</t>
  </si>
  <si>
    <t>% adjust of actual</t>
  </si>
  <si>
    <t>% meter of estimate</t>
  </si>
  <si>
    <t>%actual of estimate</t>
  </si>
  <si>
    <t>Agincourt</t>
  </si>
  <si>
    <t>Bayview</t>
  </si>
  <si>
    <t>Cummer CC</t>
  </si>
  <si>
    <t>Flemingdon</t>
  </si>
  <si>
    <t>George Bell</t>
  </si>
  <si>
    <t>Goulding Park</t>
  </si>
  <si>
    <t>Leaside</t>
  </si>
  <si>
    <t>Ledbury</t>
  </si>
  <si>
    <t>Mid Scarborough CC</t>
  </si>
  <si>
    <t>Roding</t>
  </si>
  <si>
    <t>Victoria Village</t>
  </si>
  <si>
    <t>Mimico Arena</t>
  </si>
  <si>
    <t>Sites for which metered savings were adjusted</t>
  </si>
  <si>
    <t>Totals</t>
  </si>
  <si>
    <t>Sites for which metered savings were NOT adjusted</t>
  </si>
  <si>
    <t>Grand Totals</t>
  </si>
  <si>
    <t>% adjust of meter</t>
  </si>
  <si>
    <t>Meter Only</t>
  </si>
  <si>
    <t>Centennial RC</t>
  </si>
  <si>
    <t>Adjusted Meter Readings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</si>
</sst>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6"/>
  <sheetViews>
    <sheetView tabSelected="1" workbookViewId="0" topLeftCell="A20">
      <selection activeCell="E37" sqref="E37"/>
    </sheetView>
  </sheetViews>
  <sheetFormatPr defaultColWidth="9.140625" defaultRowHeight="12.75"/>
  <cols>
    <col min="1" max="1" width="20.7109375" style="0" bestFit="1" customWidth="1"/>
    <col min="2" max="2" width="9.421875" style="0" bestFit="1" customWidth="1"/>
    <col min="5" max="5" width="10.421875" style="0" bestFit="1" customWidth="1"/>
    <col min="6" max="6" width="15.8515625" style="0" bestFit="1" customWidth="1"/>
    <col min="7" max="7" width="15.8515625" style="0" customWidth="1"/>
    <col min="9" max="9" width="17.7109375" style="0" bestFit="1" customWidth="1"/>
    <col min="10" max="10" width="17.421875" style="0" bestFit="1" customWidth="1"/>
    <col min="11" max="11" width="10.140625" style="0" bestFit="1" customWidth="1"/>
    <col min="12" max="12" width="13.57421875" style="0" bestFit="1" customWidth="1"/>
  </cols>
  <sheetData>
    <row r="2" s="2" customFormat="1" ht="12.75">
      <c r="A2" s="2" t="s">
        <v>70</v>
      </c>
    </row>
    <row r="3" spans="1:12" ht="12.75">
      <c r="A3" t="s">
        <v>0</v>
      </c>
      <c r="B3" t="s">
        <v>54</v>
      </c>
      <c r="C3" t="s">
        <v>1</v>
      </c>
      <c r="D3" t="s">
        <v>2</v>
      </c>
      <c r="E3" t="s">
        <v>24</v>
      </c>
      <c r="F3" t="s">
        <v>55</v>
      </c>
      <c r="G3" t="s">
        <v>74</v>
      </c>
      <c r="H3" t="s">
        <v>36</v>
      </c>
      <c r="I3" t="s">
        <v>56</v>
      </c>
      <c r="J3" t="s">
        <v>57</v>
      </c>
      <c r="K3" t="s">
        <v>75</v>
      </c>
      <c r="L3" t="s">
        <v>77</v>
      </c>
    </row>
    <row r="4" spans="1:12" ht="12.75">
      <c r="A4" t="s">
        <v>3</v>
      </c>
      <c r="B4">
        <f>6615-1571</f>
        <v>5044</v>
      </c>
      <c r="C4">
        <v>2095</v>
      </c>
      <c r="D4">
        <f>5223-1571</f>
        <v>3652</v>
      </c>
      <c r="E4">
        <f>+D4-C4</f>
        <v>1557</v>
      </c>
      <c r="F4" s="1">
        <f>+(E4/D4)*100</f>
        <v>42.634173055859804</v>
      </c>
      <c r="G4" s="1">
        <f>+(E4/C4)*100</f>
        <v>74.31980906921241</v>
      </c>
      <c r="H4">
        <v>1</v>
      </c>
      <c r="I4" s="1">
        <f>+(C4/B4)*100</f>
        <v>41.53449643140365</v>
      </c>
      <c r="J4" s="1">
        <f>+(D4/B4)*100</f>
        <v>72.40285487708168</v>
      </c>
      <c r="K4">
        <v>152</v>
      </c>
      <c r="L4">
        <f>+D4-K4</f>
        <v>3500</v>
      </c>
    </row>
    <row r="5" spans="1:12" ht="12.75">
      <c r="A5" t="s">
        <v>4</v>
      </c>
      <c r="B5">
        <v>30585</v>
      </c>
      <c r="C5">
        <v>17243</v>
      </c>
      <c r="D5">
        <v>34090</v>
      </c>
      <c r="E5">
        <f aca="true" t="shared" si="0" ref="E5:E36">+D5-C5</f>
        <v>16847</v>
      </c>
      <c r="F5" s="1">
        <f aca="true" t="shared" si="1" ref="F5:F37">+(E5/D5)*100</f>
        <v>49.41918451158698</v>
      </c>
      <c r="G5" s="1">
        <f aca="true" t="shared" si="2" ref="G5:G37">+(E5/C5)*100</f>
        <v>97.70341587890738</v>
      </c>
      <c r="H5" t="s">
        <v>37</v>
      </c>
      <c r="I5" s="1">
        <f aca="true" t="shared" si="3" ref="I5:I37">+(C5/B5)*100</f>
        <v>56.37730913846657</v>
      </c>
      <c r="J5" s="1">
        <f aca="true" t="shared" si="4" ref="J5:J37">+(D5/B5)*100</f>
        <v>111.45986594735982</v>
      </c>
      <c r="K5">
        <f>2987+1314</f>
        <v>4301</v>
      </c>
      <c r="L5">
        <f aca="true" t="shared" si="5" ref="L5:L37">+D5-K5</f>
        <v>29789</v>
      </c>
    </row>
    <row r="6" spans="1:12" ht="12.75">
      <c r="A6" t="s">
        <v>5</v>
      </c>
      <c r="B6">
        <f>9724-2336</f>
        <v>7388</v>
      </c>
      <c r="C6">
        <v>494</v>
      </c>
      <c r="D6">
        <f>5187-2336</f>
        <v>2851</v>
      </c>
      <c r="E6">
        <f t="shared" si="0"/>
        <v>2357</v>
      </c>
      <c r="F6" s="1">
        <f t="shared" si="1"/>
        <v>82.67274640477027</v>
      </c>
      <c r="G6" s="1">
        <f t="shared" si="2"/>
        <v>477.1255060728745</v>
      </c>
      <c r="H6">
        <v>1</v>
      </c>
      <c r="I6" s="1">
        <f t="shared" si="3"/>
        <v>6.68651867893882</v>
      </c>
      <c r="J6" s="1">
        <f t="shared" si="4"/>
        <v>38.58960476448294</v>
      </c>
      <c r="K6">
        <v>2478</v>
      </c>
      <c r="L6">
        <f t="shared" si="5"/>
        <v>373</v>
      </c>
    </row>
    <row r="7" spans="1:12" ht="12.75">
      <c r="A7" t="s">
        <v>6</v>
      </c>
      <c r="B7">
        <v>12982</v>
      </c>
      <c r="C7">
        <v>22392</v>
      </c>
      <c r="D7">
        <v>24067</v>
      </c>
      <c r="E7">
        <f t="shared" si="0"/>
        <v>1675</v>
      </c>
      <c r="F7" s="1">
        <f t="shared" si="1"/>
        <v>6.959737399759006</v>
      </c>
      <c r="G7" s="1">
        <f t="shared" si="2"/>
        <v>7.480350125044659</v>
      </c>
      <c r="H7">
        <v>1</v>
      </c>
      <c r="I7" s="1">
        <f t="shared" si="3"/>
        <v>172.48497920197195</v>
      </c>
      <c r="J7" s="1">
        <f t="shared" si="4"/>
        <v>185.38745955938992</v>
      </c>
      <c r="K7">
        <f>4047+20019</f>
        <v>24066</v>
      </c>
      <c r="L7">
        <f t="shared" si="5"/>
        <v>1</v>
      </c>
    </row>
    <row r="8" spans="1:12" ht="12.75">
      <c r="A8" t="s">
        <v>76</v>
      </c>
      <c r="B8">
        <v>95277</v>
      </c>
      <c r="C8">
        <v>19072</v>
      </c>
      <c r="D8">
        <v>95277</v>
      </c>
      <c r="E8">
        <f t="shared" si="0"/>
        <v>76205</v>
      </c>
      <c r="F8" s="1">
        <f t="shared" si="1"/>
        <v>79.9825771172476</v>
      </c>
      <c r="G8" s="1">
        <f t="shared" si="2"/>
        <v>399.56480704697987</v>
      </c>
      <c r="H8" t="s">
        <v>38</v>
      </c>
      <c r="I8" s="1">
        <f t="shared" si="3"/>
        <v>20.017422882752395</v>
      </c>
      <c r="J8" s="1">
        <f t="shared" si="4"/>
        <v>100</v>
      </c>
      <c r="L8">
        <f t="shared" si="5"/>
        <v>95277</v>
      </c>
    </row>
    <row r="9" spans="1:12" ht="12.75">
      <c r="A9" t="s">
        <v>7</v>
      </c>
      <c r="B9">
        <v>43112</v>
      </c>
      <c r="C9">
        <v>31563</v>
      </c>
      <c r="D9">
        <v>43112</v>
      </c>
      <c r="E9">
        <f t="shared" si="0"/>
        <v>11549</v>
      </c>
      <c r="F9" s="1">
        <f t="shared" si="1"/>
        <v>26.78836518834663</v>
      </c>
      <c r="G9" s="1">
        <f t="shared" si="2"/>
        <v>36.59031144061084</v>
      </c>
      <c r="H9" t="s">
        <v>39</v>
      </c>
      <c r="I9" s="1">
        <f t="shared" si="3"/>
        <v>73.21163481165337</v>
      </c>
      <c r="J9" s="1">
        <f t="shared" si="4"/>
        <v>100</v>
      </c>
      <c r="L9">
        <f t="shared" si="5"/>
        <v>43112</v>
      </c>
    </row>
    <row r="10" spans="1:12" ht="12.75">
      <c r="A10" t="s">
        <v>9</v>
      </c>
      <c r="B10">
        <v>40069</v>
      </c>
      <c r="C10">
        <v>36798</v>
      </c>
      <c r="D10">
        <v>43564</v>
      </c>
      <c r="E10">
        <f t="shared" si="0"/>
        <v>6766</v>
      </c>
      <c r="F10" s="1">
        <f t="shared" si="1"/>
        <v>15.531172527775228</v>
      </c>
      <c r="G10" s="1">
        <f t="shared" si="2"/>
        <v>18.38686885156802</v>
      </c>
      <c r="H10">
        <v>1</v>
      </c>
      <c r="I10" s="1">
        <f t="shared" si="3"/>
        <v>91.836581896229</v>
      </c>
      <c r="J10" s="1">
        <f t="shared" si="4"/>
        <v>108.7224537672515</v>
      </c>
      <c r="K10">
        <f>25182+18112</f>
        <v>43294</v>
      </c>
      <c r="L10">
        <f t="shared" si="5"/>
        <v>270</v>
      </c>
    </row>
    <row r="11" spans="1:12" ht="12.75">
      <c r="A11" t="s">
        <v>10</v>
      </c>
      <c r="B11">
        <v>22946</v>
      </c>
      <c r="C11">
        <v>10511</v>
      </c>
      <c r="D11">
        <v>11286</v>
      </c>
      <c r="E11">
        <f t="shared" si="0"/>
        <v>775</v>
      </c>
      <c r="F11" s="1">
        <f t="shared" si="1"/>
        <v>6.8669147616516035</v>
      </c>
      <c r="G11" s="1">
        <f t="shared" si="2"/>
        <v>7.373228046808106</v>
      </c>
      <c r="H11">
        <v>1</v>
      </c>
      <c r="I11" s="1">
        <f t="shared" si="3"/>
        <v>45.80754815654144</v>
      </c>
      <c r="J11" s="1">
        <f t="shared" si="4"/>
        <v>49.18504314477469</v>
      </c>
      <c r="K11">
        <f>3015+2162</f>
        <v>5177</v>
      </c>
      <c r="L11">
        <f t="shared" si="5"/>
        <v>6109</v>
      </c>
    </row>
    <row r="12" spans="1:12" ht="12.75">
      <c r="A12" t="s">
        <v>11</v>
      </c>
      <c r="B12">
        <v>15260</v>
      </c>
      <c r="C12">
        <v>17671</v>
      </c>
      <c r="D12">
        <v>18897</v>
      </c>
      <c r="E12">
        <f t="shared" si="0"/>
        <v>1226</v>
      </c>
      <c r="F12" s="1">
        <f t="shared" si="1"/>
        <v>6.4878022966608455</v>
      </c>
      <c r="G12" s="1">
        <f t="shared" si="2"/>
        <v>6.937920887329523</v>
      </c>
      <c r="H12">
        <v>1</v>
      </c>
      <c r="I12" s="1">
        <f t="shared" si="3"/>
        <v>115.79947575360418</v>
      </c>
      <c r="J12" s="1">
        <f t="shared" si="4"/>
        <v>123.83355176933159</v>
      </c>
      <c r="K12">
        <f>706+10467</f>
        <v>11173</v>
      </c>
      <c r="L12">
        <f t="shared" si="5"/>
        <v>7724</v>
      </c>
    </row>
    <row r="13" spans="1:12" ht="12.75">
      <c r="A13" t="s">
        <v>12</v>
      </c>
      <c r="B13">
        <v>13446</v>
      </c>
      <c r="C13">
        <v>-3377</v>
      </c>
      <c r="D13">
        <v>14211</v>
      </c>
      <c r="E13">
        <f t="shared" si="0"/>
        <v>17588</v>
      </c>
      <c r="F13" s="1">
        <f t="shared" si="1"/>
        <v>123.76328196467526</v>
      </c>
      <c r="G13" s="1">
        <f t="shared" si="2"/>
        <v>-520.8172934557299</v>
      </c>
      <c r="H13" t="s">
        <v>40</v>
      </c>
      <c r="I13" s="1">
        <f t="shared" si="3"/>
        <v>-25.115275918488773</v>
      </c>
      <c r="J13" s="1">
        <f t="shared" si="4"/>
        <v>105.68942436412317</v>
      </c>
      <c r="K13">
        <v>863</v>
      </c>
      <c r="L13">
        <f t="shared" si="5"/>
        <v>13348</v>
      </c>
    </row>
    <row r="14" spans="1:12" ht="12.75">
      <c r="A14" t="s">
        <v>13</v>
      </c>
      <c r="B14">
        <f>16506-3058</f>
        <v>13448</v>
      </c>
      <c r="C14">
        <v>2902</v>
      </c>
      <c r="D14">
        <f>16506-3058</f>
        <v>13448</v>
      </c>
      <c r="E14">
        <f t="shared" si="0"/>
        <v>10546</v>
      </c>
      <c r="F14" s="1">
        <f t="shared" si="1"/>
        <v>78.42058298631767</v>
      </c>
      <c r="G14" s="1">
        <f t="shared" si="2"/>
        <v>363.40454858718124</v>
      </c>
      <c r="H14" t="s">
        <v>41</v>
      </c>
      <c r="I14" s="1">
        <f t="shared" si="3"/>
        <v>21.57941701368233</v>
      </c>
      <c r="J14" s="1">
        <f t="shared" si="4"/>
        <v>100</v>
      </c>
      <c r="L14">
        <f t="shared" si="5"/>
        <v>13448</v>
      </c>
    </row>
    <row r="15" spans="1:12" ht="12.75">
      <c r="A15" t="s">
        <v>14</v>
      </c>
      <c r="B15">
        <v>11787</v>
      </c>
      <c r="C15">
        <v>792</v>
      </c>
      <c r="D15">
        <v>5786</v>
      </c>
      <c r="E15">
        <f t="shared" si="0"/>
        <v>4994</v>
      </c>
      <c r="F15" s="1">
        <f t="shared" si="1"/>
        <v>86.31178707224335</v>
      </c>
      <c r="G15" s="1">
        <f t="shared" si="2"/>
        <v>630.5555555555555</v>
      </c>
      <c r="H15">
        <v>1</v>
      </c>
      <c r="I15" s="1">
        <f t="shared" si="3"/>
        <v>6.719266989055739</v>
      </c>
      <c r="J15" s="1">
        <f t="shared" si="4"/>
        <v>49.087978281157206</v>
      </c>
      <c r="K15">
        <f>3534+1266+986</f>
        <v>5786</v>
      </c>
      <c r="L15">
        <f t="shared" si="5"/>
        <v>0</v>
      </c>
    </row>
    <row r="16" spans="1:12" ht="12.75">
      <c r="A16" t="s">
        <v>42</v>
      </c>
      <c r="B16">
        <v>9036</v>
      </c>
      <c r="C16">
        <v>1073</v>
      </c>
      <c r="D16">
        <v>1210</v>
      </c>
      <c r="E16">
        <f t="shared" si="0"/>
        <v>137</v>
      </c>
      <c r="F16" s="1">
        <f t="shared" si="1"/>
        <v>11.322314049586776</v>
      </c>
      <c r="G16" s="1">
        <f t="shared" si="2"/>
        <v>12.76794035414725</v>
      </c>
      <c r="H16">
        <v>1</v>
      </c>
      <c r="I16" s="1">
        <f t="shared" si="3"/>
        <v>11.874723328906596</v>
      </c>
      <c r="J16" s="1">
        <f t="shared" si="4"/>
        <v>13.3908809207614</v>
      </c>
      <c r="L16">
        <f t="shared" si="5"/>
        <v>1210</v>
      </c>
    </row>
    <row r="17" spans="1:12" ht="12.75">
      <c r="A17" t="s">
        <v>15</v>
      </c>
      <c r="B17">
        <v>26995</v>
      </c>
      <c r="C17">
        <v>23372</v>
      </c>
      <c r="D17">
        <v>36015</v>
      </c>
      <c r="E17">
        <f t="shared" si="0"/>
        <v>12643</v>
      </c>
      <c r="F17" s="1">
        <f t="shared" si="1"/>
        <v>35.10481743717895</v>
      </c>
      <c r="G17" s="1">
        <f t="shared" si="2"/>
        <v>54.09464316275886</v>
      </c>
      <c r="H17" t="s">
        <v>43</v>
      </c>
      <c r="I17" s="1">
        <f t="shared" si="3"/>
        <v>86.57899611039082</v>
      </c>
      <c r="J17" s="1">
        <f t="shared" si="4"/>
        <v>133.4135951102056</v>
      </c>
      <c r="K17">
        <f>4490+3745</f>
        <v>8235</v>
      </c>
      <c r="L17">
        <f t="shared" si="5"/>
        <v>27780</v>
      </c>
    </row>
    <row r="18" spans="1:12" ht="12.75">
      <c r="A18" t="s">
        <v>16</v>
      </c>
      <c r="B18">
        <v>10652</v>
      </c>
      <c r="C18">
        <v>-720</v>
      </c>
      <c r="D18">
        <v>10652</v>
      </c>
      <c r="E18">
        <f t="shared" si="0"/>
        <v>11372</v>
      </c>
      <c r="F18" s="1">
        <f t="shared" si="1"/>
        <v>106.75929402929027</v>
      </c>
      <c r="G18" s="1">
        <f t="shared" si="2"/>
        <v>-1579.4444444444443</v>
      </c>
      <c r="H18" t="s">
        <v>44</v>
      </c>
      <c r="I18" s="1">
        <f t="shared" si="3"/>
        <v>-6.759294029290275</v>
      </c>
      <c r="J18" s="1">
        <f t="shared" si="4"/>
        <v>100</v>
      </c>
      <c r="L18">
        <f t="shared" si="5"/>
        <v>10652</v>
      </c>
    </row>
    <row r="19" spans="1:12" ht="12.75">
      <c r="A19" t="s">
        <v>17</v>
      </c>
      <c r="B19">
        <v>31736</v>
      </c>
      <c r="C19">
        <v>1874</v>
      </c>
      <c r="D19">
        <v>31736</v>
      </c>
      <c r="E19">
        <f t="shared" si="0"/>
        <v>29862</v>
      </c>
      <c r="F19" s="1">
        <f t="shared" si="1"/>
        <v>94.09503403075372</v>
      </c>
      <c r="G19" s="1">
        <f t="shared" si="2"/>
        <v>1593.4898612593383</v>
      </c>
      <c r="H19" t="s">
        <v>45</v>
      </c>
      <c r="I19" s="1">
        <f t="shared" si="3"/>
        <v>5.904965969246282</v>
      </c>
      <c r="J19" s="1">
        <f t="shared" si="4"/>
        <v>100</v>
      </c>
      <c r="L19">
        <f t="shared" si="5"/>
        <v>31736</v>
      </c>
    </row>
    <row r="20" spans="1:12" ht="12.75">
      <c r="A20" t="s">
        <v>18</v>
      </c>
      <c r="B20">
        <v>31853</v>
      </c>
      <c r="C20">
        <v>44865</v>
      </c>
      <c r="D20">
        <v>45427</v>
      </c>
      <c r="E20">
        <f t="shared" si="0"/>
        <v>562</v>
      </c>
      <c r="F20" s="1">
        <f t="shared" si="1"/>
        <v>1.237149712725912</v>
      </c>
      <c r="G20" s="1">
        <f t="shared" si="2"/>
        <v>1.2526468293770199</v>
      </c>
      <c r="H20">
        <v>1</v>
      </c>
      <c r="I20" s="1">
        <f t="shared" si="3"/>
        <v>140.85015540137508</v>
      </c>
      <c r="J20" s="1">
        <f t="shared" si="4"/>
        <v>142.614510407183</v>
      </c>
      <c r="K20">
        <f>1859+25272</f>
        <v>27131</v>
      </c>
      <c r="L20">
        <f t="shared" si="5"/>
        <v>18296</v>
      </c>
    </row>
    <row r="21" spans="1:12" ht="12.75">
      <c r="A21" t="s">
        <v>19</v>
      </c>
      <c r="B21">
        <v>11256</v>
      </c>
      <c r="C21">
        <v>8810</v>
      </c>
      <c r="D21">
        <v>12595</v>
      </c>
      <c r="E21">
        <f t="shared" si="0"/>
        <v>3785</v>
      </c>
      <c r="F21" s="1">
        <f t="shared" si="1"/>
        <v>30.051607780865425</v>
      </c>
      <c r="G21" s="1">
        <f t="shared" si="2"/>
        <v>42.962542565266745</v>
      </c>
      <c r="H21" t="s">
        <v>46</v>
      </c>
      <c r="I21" s="1">
        <f t="shared" si="3"/>
        <v>78.26936744847193</v>
      </c>
      <c r="J21" s="1">
        <f t="shared" si="4"/>
        <v>111.89587775408671</v>
      </c>
      <c r="L21">
        <f t="shared" si="5"/>
        <v>12595</v>
      </c>
    </row>
    <row r="22" spans="1:12" ht="12.75">
      <c r="A22" t="s">
        <v>20</v>
      </c>
      <c r="B22">
        <f>14986-2905</f>
        <v>12081</v>
      </c>
      <c r="C22">
        <v>9178</v>
      </c>
      <c r="D22">
        <f>13831-2905</f>
        <v>10926</v>
      </c>
      <c r="E22">
        <f t="shared" si="0"/>
        <v>1748</v>
      </c>
      <c r="F22" s="1">
        <f t="shared" si="1"/>
        <v>15.998535603148452</v>
      </c>
      <c r="G22" s="1">
        <f t="shared" si="2"/>
        <v>19.04554369143604</v>
      </c>
      <c r="H22">
        <v>1</v>
      </c>
      <c r="I22" s="1">
        <f t="shared" si="3"/>
        <v>75.97053224070855</v>
      </c>
      <c r="J22" s="1">
        <f t="shared" si="4"/>
        <v>90.4395331512292</v>
      </c>
      <c r="K22">
        <f>3033+1142</f>
        <v>4175</v>
      </c>
      <c r="L22">
        <f t="shared" si="5"/>
        <v>6751</v>
      </c>
    </row>
    <row r="23" spans="1:12" ht="12.75">
      <c r="A23" t="s">
        <v>21</v>
      </c>
      <c r="B23">
        <v>10906</v>
      </c>
      <c r="C23">
        <v>9684</v>
      </c>
      <c r="D23">
        <v>14220</v>
      </c>
      <c r="E23">
        <f t="shared" si="0"/>
        <v>4536</v>
      </c>
      <c r="F23" s="1">
        <f t="shared" si="1"/>
        <v>31.89873417721519</v>
      </c>
      <c r="G23" s="1">
        <f t="shared" si="2"/>
        <v>46.84014869888476</v>
      </c>
      <c r="H23">
        <v>1</v>
      </c>
      <c r="I23" s="1">
        <f t="shared" si="3"/>
        <v>88.79515862827802</v>
      </c>
      <c r="J23" s="1">
        <f t="shared" si="4"/>
        <v>130.38694296717404</v>
      </c>
      <c r="K23">
        <f>1179+3819</f>
        <v>4998</v>
      </c>
      <c r="L23">
        <f t="shared" si="5"/>
        <v>9222</v>
      </c>
    </row>
    <row r="24" spans="1:12" ht="12.75">
      <c r="A24" t="s">
        <v>22</v>
      </c>
      <c r="B24">
        <v>46688</v>
      </c>
      <c r="C24">
        <v>6086</v>
      </c>
      <c r="D24">
        <v>48688</v>
      </c>
      <c r="E24">
        <f t="shared" si="0"/>
        <v>42602</v>
      </c>
      <c r="F24" s="1">
        <f t="shared" si="1"/>
        <v>87.5</v>
      </c>
      <c r="G24" s="1">
        <f t="shared" si="2"/>
        <v>700</v>
      </c>
      <c r="H24" t="s">
        <v>47</v>
      </c>
      <c r="I24" s="1">
        <f t="shared" si="3"/>
        <v>13.035469499657298</v>
      </c>
      <c r="J24" s="1">
        <f t="shared" si="4"/>
        <v>104.28375599725838</v>
      </c>
      <c r="L24">
        <f t="shared" si="5"/>
        <v>48688</v>
      </c>
    </row>
    <row r="25" spans="1:12" ht="12.75">
      <c r="A25" t="s">
        <v>23</v>
      </c>
      <c r="B25">
        <v>28376</v>
      </c>
      <c r="C25">
        <v>24825</v>
      </c>
      <c r="D25">
        <v>26623</v>
      </c>
      <c r="E25">
        <f t="shared" si="0"/>
        <v>1798</v>
      </c>
      <c r="F25" s="1">
        <f t="shared" si="1"/>
        <v>6.753558952785185</v>
      </c>
      <c r="G25" s="1">
        <f t="shared" si="2"/>
        <v>7.242698892245721</v>
      </c>
      <c r="H25" t="s">
        <v>48</v>
      </c>
      <c r="I25" s="1">
        <f t="shared" si="3"/>
        <v>87.48590358049056</v>
      </c>
      <c r="J25" s="1">
        <f t="shared" si="4"/>
        <v>93.8222441499859</v>
      </c>
      <c r="L25">
        <f t="shared" si="5"/>
        <v>26623</v>
      </c>
    </row>
    <row r="26" spans="1:12" ht="12.75">
      <c r="A26" t="s">
        <v>25</v>
      </c>
      <c r="B26">
        <f>15354-664</f>
        <v>14690</v>
      </c>
      <c r="C26">
        <v>10325</v>
      </c>
      <c r="D26">
        <f>17286-664</f>
        <v>16622</v>
      </c>
      <c r="E26">
        <f t="shared" si="0"/>
        <v>6297</v>
      </c>
      <c r="F26" s="1">
        <f t="shared" si="1"/>
        <v>37.88352785465046</v>
      </c>
      <c r="G26" s="1">
        <f t="shared" si="2"/>
        <v>60.987893462469735</v>
      </c>
      <c r="H26" t="s">
        <v>49</v>
      </c>
      <c r="I26" s="1">
        <f t="shared" si="3"/>
        <v>70.28590878148401</v>
      </c>
      <c r="J26" s="1">
        <f t="shared" si="4"/>
        <v>113.15180394826412</v>
      </c>
      <c r="L26">
        <f t="shared" si="5"/>
        <v>16622</v>
      </c>
    </row>
    <row r="27" spans="1:12" ht="12.75">
      <c r="A27" t="s">
        <v>26</v>
      </c>
      <c r="B27">
        <v>41532</v>
      </c>
      <c r="C27">
        <v>24464</v>
      </c>
      <c r="D27">
        <v>25054</v>
      </c>
      <c r="E27">
        <f t="shared" si="0"/>
        <v>590</v>
      </c>
      <c r="F27" s="1">
        <f t="shared" si="1"/>
        <v>2.354913387083899</v>
      </c>
      <c r="G27" s="1">
        <f t="shared" si="2"/>
        <v>2.4117069980379333</v>
      </c>
      <c r="H27">
        <v>1</v>
      </c>
      <c r="I27" s="1">
        <f t="shared" si="3"/>
        <v>58.90397765578349</v>
      </c>
      <c r="J27" s="1">
        <f t="shared" si="4"/>
        <v>60.324569007030725</v>
      </c>
      <c r="K27">
        <f>4219+785+19516</f>
        <v>24520</v>
      </c>
      <c r="L27">
        <f t="shared" si="5"/>
        <v>534</v>
      </c>
    </row>
    <row r="28" spans="1:12" ht="12.75">
      <c r="A28" t="s">
        <v>27</v>
      </c>
      <c r="B28">
        <v>4076</v>
      </c>
      <c r="C28">
        <v>14812</v>
      </c>
      <c r="D28">
        <v>15351</v>
      </c>
      <c r="E28">
        <f t="shared" si="0"/>
        <v>539</v>
      </c>
      <c r="F28" s="1">
        <f t="shared" si="1"/>
        <v>3.511171910624715</v>
      </c>
      <c r="G28" s="1">
        <f t="shared" si="2"/>
        <v>3.6389413988657844</v>
      </c>
      <c r="H28">
        <v>1</v>
      </c>
      <c r="I28" s="1">
        <f t="shared" si="3"/>
        <v>363.3954857703631</v>
      </c>
      <c r="J28" s="1">
        <f t="shared" si="4"/>
        <v>376.61923454367025</v>
      </c>
      <c r="L28">
        <f t="shared" si="5"/>
        <v>15351</v>
      </c>
    </row>
    <row r="29" spans="1:12" ht="12.75">
      <c r="A29" t="s">
        <v>28</v>
      </c>
      <c r="B29">
        <v>9754</v>
      </c>
      <c r="C29">
        <v>19743</v>
      </c>
      <c r="D29">
        <v>19985</v>
      </c>
      <c r="E29">
        <f t="shared" si="0"/>
        <v>242</v>
      </c>
      <c r="F29" s="1">
        <f t="shared" si="1"/>
        <v>1.210908181135852</v>
      </c>
      <c r="G29" s="1">
        <f t="shared" si="2"/>
        <v>1.2257508990528287</v>
      </c>
      <c r="H29">
        <v>1</v>
      </c>
      <c r="I29" s="1">
        <f t="shared" si="3"/>
        <v>202.40926799261842</v>
      </c>
      <c r="J29" s="1">
        <f t="shared" si="4"/>
        <v>204.89030141480418</v>
      </c>
      <c r="K29">
        <f>2248+1472+15257</f>
        <v>18977</v>
      </c>
      <c r="L29">
        <f t="shared" si="5"/>
        <v>1008</v>
      </c>
    </row>
    <row r="30" spans="1:12" ht="12.75">
      <c r="A30" t="s">
        <v>29</v>
      </c>
      <c r="B30">
        <v>11871</v>
      </c>
      <c r="C30">
        <v>6247</v>
      </c>
      <c r="D30">
        <v>7818</v>
      </c>
      <c r="E30">
        <f t="shared" si="0"/>
        <v>1571</v>
      </c>
      <c r="F30" s="1">
        <f t="shared" si="1"/>
        <v>20.09465336403172</v>
      </c>
      <c r="G30" s="1">
        <f t="shared" si="2"/>
        <v>25.148071074115574</v>
      </c>
      <c r="H30">
        <v>1</v>
      </c>
      <c r="I30" s="1">
        <f t="shared" si="3"/>
        <v>52.624041782495155</v>
      </c>
      <c r="J30" s="1">
        <f t="shared" si="4"/>
        <v>65.85797321202932</v>
      </c>
      <c r="K30">
        <f>4053+1693+2072</f>
        <v>7818</v>
      </c>
      <c r="L30">
        <f t="shared" si="5"/>
        <v>0</v>
      </c>
    </row>
    <row r="31" spans="1:12" ht="12.75">
      <c r="A31" t="s">
        <v>30</v>
      </c>
      <c r="B31">
        <v>32882</v>
      </c>
      <c r="C31">
        <v>24481</v>
      </c>
      <c r="D31">
        <v>33625</v>
      </c>
      <c r="E31">
        <f t="shared" si="0"/>
        <v>9144</v>
      </c>
      <c r="F31" s="1">
        <f t="shared" si="1"/>
        <v>27.194052044609666</v>
      </c>
      <c r="G31" s="1">
        <f t="shared" si="2"/>
        <v>37.35141538335852</v>
      </c>
      <c r="H31" t="s">
        <v>50</v>
      </c>
      <c r="I31" s="1">
        <f t="shared" si="3"/>
        <v>74.45106745331792</v>
      </c>
      <c r="J31" s="1">
        <f t="shared" si="4"/>
        <v>102.25959491515115</v>
      </c>
      <c r="L31">
        <f t="shared" si="5"/>
        <v>33625</v>
      </c>
    </row>
    <row r="32" spans="1:12" ht="12.75">
      <c r="A32" t="s">
        <v>31</v>
      </c>
      <c r="B32">
        <v>19851</v>
      </c>
      <c r="C32">
        <v>15348</v>
      </c>
      <c r="D32">
        <v>21439</v>
      </c>
      <c r="E32">
        <f t="shared" si="0"/>
        <v>6091</v>
      </c>
      <c r="F32" s="1">
        <f t="shared" si="1"/>
        <v>28.41084005783852</v>
      </c>
      <c r="G32" s="1">
        <f t="shared" si="2"/>
        <v>39.68595256710972</v>
      </c>
      <c r="H32" t="s">
        <v>51</v>
      </c>
      <c r="I32" s="1">
        <f t="shared" si="3"/>
        <v>77.31600423152486</v>
      </c>
      <c r="J32" s="1">
        <f t="shared" si="4"/>
        <v>107.99959699763235</v>
      </c>
      <c r="L32">
        <f t="shared" si="5"/>
        <v>21439</v>
      </c>
    </row>
    <row r="33" spans="1:12" ht="12.75">
      <c r="A33" t="s">
        <v>32</v>
      </c>
      <c r="B33">
        <v>29901</v>
      </c>
      <c r="C33">
        <v>33376</v>
      </c>
      <c r="D33">
        <v>33823</v>
      </c>
      <c r="E33">
        <f t="shared" si="0"/>
        <v>447</v>
      </c>
      <c r="F33" s="1">
        <f t="shared" si="1"/>
        <v>1.3215859030837005</v>
      </c>
      <c r="G33" s="1">
        <f t="shared" si="2"/>
        <v>1.3392857142857142</v>
      </c>
      <c r="H33">
        <v>1</v>
      </c>
      <c r="I33" s="1">
        <f t="shared" si="3"/>
        <v>111.62168489348183</v>
      </c>
      <c r="J33" s="1">
        <f t="shared" si="4"/>
        <v>113.11661817330526</v>
      </c>
      <c r="K33">
        <f>4543+996+28285</f>
        <v>33824</v>
      </c>
      <c r="L33">
        <f t="shared" si="5"/>
        <v>-1</v>
      </c>
    </row>
    <row r="34" spans="1:12" ht="12.75">
      <c r="A34" t="s">
        <v>33</v>
      </c>
      <c r="B34">
        <v>12707</v>
      </c>
      <c r="C34">
        <v>8755</v>
      </c>
      <c r="D34">
        <f>12707-1407</f>
        <v>11300</v>
      </c>
      <c r="E34">
        <f t="shared" si="0"/>
        <v>2545</v>
      </c>
      <c r="F34" s="1">
        <f t="shared" si="1"/>
        <v>22.52212389380531</v>
      </c>
      <c r="G34" s="1">
        <f t="shared" si="2"/>
        <v>29.06910336950314</v>
      </c>
      <c r="H34" t="s">
        <v>52</v>
      </c>
      <c r="I34" s="1">
        <f t="shared" si="3"/>
        <v>68.89903202958999</v>
      </c>
      <c r="J34" s="1">
        <f t="shared" si="4"/>
        <v>88.92736287085859</v>
      </c>
      <c r="L34">
        <f t="shared" si="5"/>
        <v>11300</v>
      </c>
    </row>
    <row r="35" spans="1:12" ht="12.75">
      <c r="A35" t="s">
        <v>34</v>
      </c>
      <c r="B35">
        <f>33645-6000</f>
        <v>27645</v>
      </c>
      <c r="C35">
        <v>1649</v>
      </c>
      <c r="D35">
        <f>33023-6000</f>
        <v>27023</v>
      </c>
      <c r="E35">
        <f t="shared" si="0"/>
        <v>25374</v>
      </c>
      <c r="F35" s="1">
        <f t="shared" si="1"/>
        <v>93.89779077082486</v>
      </c>
      <c r="G35" s="1">
        <f t="shared" si="2"/>
        <v>1538.7507580351728</v>
      </c>
      <c r="H35" t="s">
        <v>53</v>
      </c>
      <c r="I35" s="1">
        <f t="shared" si="3"/>
        <v>5.964912280701754</v>
      </c>
      <c r="J35" s="1">
        <f t="shared" si="4"/>
        <v>97.75004521613312</v>
      </c>
      <c r="K35">
        <f>933+64</f>
        <v>997</v>
      </c>
      <c r="L35">
        <f t="shared" si="5"/>
        <v>26026</v>
      </c>
    </row>
    <row r="36" spans="1:12" ht="12.75">
      <c r="A36" t="s">
        <v>35</v>
      </c>
      <c r="B36">
        <v>6818</v>
      </c>
      <c r="C36">
        <v>13849</v>
      </c>
      <c r="D36">
        <v>15816</v>
      </c>
      <c r="E36">
        <f t="shared" si="0"/>
        <v>1967</v>
      </c>
      <c r="F36" s="1">
        <f t="shared" si="1"/>
        <v>12.436772888214467</v>
      </c>
      <c r="G36" s="1">
        <f t="shared" si="2"/>
        <v>14.203191566178063</v>
      </c>
      <c r="H36">
        <v>1</v>
      </c>
      <c r="I36" s="1">
        <f t="shared" si="3"/>
        <v>203.12408330888823</v>
      </c>
      <c r="J36" s="1">
        <f t="shared" si="4"/>
        <v>231.97418597829275</v>
      </c>
      <c r="K36">
        <f>11822+3994</f>
        <v>15816</v>
      </c>
      <c r="L36">
        <f t="shared" si="5"/>
        <v>0</v>
      </c>
    </row>
    <row r="37" spans="1:12" s="2" customFormat="1" ht="12.75">
      <c r="A37" s="2" t="s">
        <v>71</v>
      </c>
      <c r="B37" s="2">
        <f>+SUM(B3:B36)</f>
        <v>742650</v>
      </c>
      <c r="C37" s="2">
        <f>+SUM(C3:C36)</f>
        <v>460252</v>
      </c>
      <c r="D37" s="2">
        <f>+SUM(D3:D36)</f>
        <v>776189</v>
      </c>
      <c r="E37" s="2">
        <f>+SUM(E3:E36)</f>
        <v>315937</v>
      </c>
      <c r="F37" s="3">
        <f t="shared" si="1"/>
        <v>40.70361728908809</v>
      </c>
      <c r="G37" s="3">
        <f t="shared" si="2"/>
        <v>68.64435135534447</v>
      </c>
      <c r="I37" s="3">
        <f t="shared" si="3"/>
        <v>61.97428128997509</v>
      </c>
      <c r="J37" s="3">
        <f t="shared" si="4"/>
        <v>104.5161246886151</v>
      </c>
      <c r="K37" s="2">
        <f>SUM(K4:K36)</f>
        <v>243781</v>
      </c>
      <c r="L37" s="2">
        <f t="shared" si="5"/>
        <v>532408</v>
      </c>
    </row>
    <row r="38" spans="6:10" ht="12.75">
      <c r="F38" s="1"/>
      <c r="G38" s="1"/>
      <c r="I38" s="1"/>
      <c r="J38" s="1"/>
    </row>
    <row r="39" spans="1:10" s="2" customFormat="1" ht="12.75">
      <c r="A39" s="2" t="s">
        <v>72</v>
      </c>
      <c r="F39" s="3"/>
      <c r="G39" s="3"/>
      <c r="I39" s="3"/>
      <c r="J39" s="3"/>
    </row>
    <row r="40" spans="1:10" ht="12.75">
      <c r="A40" t="s">
        <v>0</v>
      </c>
      <c r="B40" t="s">
        <v>54</v>
      </c>
      <c r="C40" t="s">
        <v>1</v>
      </c>
      <c r="D40" t="s">
        <v>2</v>
      </c>
      <c r="E40" t="s">
        <v>24</v>
      </c>
      <c r="F40" t="s">
        <v>55</v>
      </c>
      <c r="G40" t="s">
        <v>74</v>
      </c>
      <c r="H40" t="s">
        <v>36</v>
      </c>
      <c r="I40" t="s">
        <v>56</v>
      </c>
      <c r="J40" t="s">
        <v>57</v>
      </c>
    </row>
    <row r="41" spans="1:9" ht="12.75">
      <c r="A41" t="s">
        <v>58</v>
      </c>
      <c r="B41">
        <v>66016</v>
      </c>
      <c r="C41">
        <v>68278</v>
      </c>
      <c r="D41">
        <v>68278</v>
      </c>
      <c r="I41" s="1">
        <f aca="true" t="shared" si="6" ref="I41:I54">+(C41/B41)*100</f>
        <v>103.42644207464858</v>
      </c>
    </row>
    <row r="42" spans="1:9" ht="12.75">
      <c r="A42" t="s">
        <v>59</v>
      </c>
      <c r="B42">
        <v>15697</v>
      </c>
      <c r="C42">
        <v>8928</v>
      </c>
      <c r="D42">
        <v>8928</v>
      </c>
      <c r="I42" s="1">
        <f t="shared" si="6"/>
        <v>56.877110275848885</v>
      </c>
    </row>
    <row r="43" spans="1:9" ht="12.75">
      <c r="A43" t="s">
        <v>8</v>
      </c>
      <c r="B43">
        <v>9049</v>
      </c>
      <c r="C43">
        <v>8191</v>
      </c>
      <c r="D43">
        <v>8191</v>
      </c>
      <c r="I43" s="1">
        <f t="shared" si="6"/>
        <v>90.51828931373632</v>
      </c>
    </row>
    <row r="44" spans="1:9" ht="12.75">
      <c r="A44" t="s">
        <v>60</v>
      </c>
      <c r="B44">
        <v>34961</v>
      </c>
      <c r="C44">
        <v>43696</v>
      </c>
      <c r="D44">
        <v>43696</v>
      </c>
      <c r="I44" s="1">
        <f t="shared" si="6"/>
        <v>124.98498326706901</v>
      </c>
    </row>
    <row r="45" spans="1:9" ht="12.75">
      <c r="A45" t="s">
        <v>61</v>
      </c>
      <c r="B45">
        <v>2843</v>
      </c>
      <c r="C45">
        <v>5081</v>
      </c>
      <c r="D45">
        <v>5081</v>
      </c>
      <c r="I45" s="1">
        <f t="shared" si="6"/>
        <v>178.7196623285262</v>
      </c>
    </row>
    <row r="46" spans="1:9" ht="12.75">
      <c r="A46" t="s">
        <v>62</v>
      </c>
      <c r="B46">
        <f>15653-2183</f>
        <v>13470</v>
      </c>
      <c r="C46">
        <v>11594</v>
      </c>
      <c r="D46">
        <f>13778-2183</f>
        <v>11595</v>
      </c>
      <c r="I46" s="1">
        <f t="shared" si="6"/>
        <v>86.07275426874536</v>
      </c>
    </row>
    <row r="47" spans="1:9" ht="12.75">
      <c r="A47" t="s">
        <v>63</v>
      </c>
      <c r="B47">
        <v>5943</v>
      </c>
      <c r="C47">
        <v>15377</v>
      </c>
      <c r="D47">
        <v>15377</v>
      </c>
      <c r="I47" s="1">
        <f t="shared" si="6"/>
        <v>258.74137640922095</v>
      </c>
    </row>
    <row r="48" spans="1:9" ht="12.75">
      <c r="A48" t="s">
        <v>64</v>
      </c>
      <c r="B48">
        <v>15163</v>
      </c>
      <c r="C48">
        <v>5500</v>
      </c>
      <c r="D48">
        <v>5500</v>
      </c>
      <c r="I48" s="1">
        <f t="shared" si="6"/>
        <v>36.27250544087582</v>
      </c>
    </row>
    <row r="49" spans="1:9" ht="12.75">
      <c r="A49" t="s">
        <v>65</v>
      </c>
      <c r="B49">
        <v>1560</v>
      </c>
      <c r="C49">
        <v>1419</v>
      </c>
      <c r="D49">
        <v>1419</v>
      </c>
      <c r="I49" s="1">
        <f t="shared" si="6"/>
        <v>90.96153846153847</v>
      </c>
    </row>
    <row r="50" spans="1:9" ht="12.75">
      <c r="A50" t="s">
        <v>66</v>
      </c>
      <c r="B50">
        <v>47210</v>
      </c>
      <c r="C50">
        <v>49027</v>
      </c>
      <c r="D50">
        <v>49027</v>
      </c>
      <c r="I50" s="1">
        <f t="shared" si="6"/>
        <v>103.8487608557509</v>
      </c>
    </row>
    <row r="51" spans="1:9" ht="12.75">
      <c r="A51" t="s">
        <v>69</v>
      </c>
      <c r="B51">
        <v>3267</v>
      </c>
      <c r="C51">
        <v>4141</v>
      </c>
      <c r="D51">
        <v>4141</v>
      </c>
      <c r="I51" s="1">
        <f t="shared" si="6"/>
        <v>126.75237220691767</v>
      </c>
    </row>
    <row r="52" spans="1:9" ht="12.75">
      <c r="A52" t="s">
        <v>67</v>
      </c>
      <c r="B52">
        <f>7859+258</f>
        <v>8117</v>
      </c>
      <c r="C52">
        <v>23358</v>
      </c>
      <c r="D52">
        <f>23099+258</f>
        <v>23357</v>
      </c>
      <c r="I52" s="1">
        <f t="shared" si="6"/>
        <v>287.76641616360723</v>
      </c>
    </row>
    <row r="53" spans="1:9" ht="12.75">
      <c r="A53" t="s">
        <v>68</v>
      </c>
      <c r="B53">
        <v>18388</v>
      </c>
      <c r="C53">
        <v>17477</v>
      </c>
      <c r="D53">
        <v>17477</v>
      </c>
      <c r="I53" s="1">
        <f t="shared" si="6"/>
        <v>95.0456819664999</v>
      </c>
    </row>
    <row r="54" spans="1:9" s="2" customFormat="1" ht="12.75">
      <c r="A54" s="2" t="s">
        <v>71</v>
      </c>
      <c r="B54" s="2">
        <f>+SUM(B41:B53)</f>
        <v>241684</v>
      </c>
      <c r="C54" s="2">
        <f>+SUM(C41:C53)</f>
        <v>262067</v>
      </c>
      <c r="D54" s="2">
        <f>+SUM(D41:D53)</f>
        <v>262067</v>
      </c>
      <c r="I54" s="3">
        <f t="shared" si="6"/>
        <v>108.43373992486056</v>
      </c>
    </row>
    <row r="56" spans="1:10" s="2" customFormat="1" ht="12.75">
      <c r="A56" s="2" t="s">
        <v>73</v>
      </c>
      <c r="B56" s="2">
        <f>+B54+B37</f>
        <v>984334</v>
      </c>
      <c r="C56" s="2">
        <f>+C54+C37</f>
        <v>722319</v>
      </c>
      <c r="D56" s="2">
        <f>+D54+D37</f>
        <v>1038256</v>
      </c>
      <c r="E56" s="2">
        <f>+E54+E37</f>
        <v>315937</v>
      </c>
      <c r="F56" s="3">
        <f>+(E56/D56)*100</f>
        <v>30.42958576690142</v>
      </c>
      <c r="G56" s="3">
        <f>+(E56/C56)*100</f>
        <v>43.739262015812955</v>
      </c>
      <c r="I56" s="3">
        <f>+(C56/B56)*100</f>
        <v>73.381494492723</v>
      </c>
      <c r="J56" s="3">
        <f>+(D56/B56)*100</f>
        <v>105.47801864001447</v>
      </c>
    </row>
  </sheetData>
  <printOptions/>
  <pageMargins left="0.75" right="0.75" top="1" bottom="1" header="0.5" footer="0.5"/>
  <pageSetup fitToHeight="1" fitToWidth="1" horizontalDpi="300" verticalDpi="3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Bechmann Software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Bechmann</dc:creator>
  <cp:keywords/>
  <dc:description/>
  <cp:lastModifiedBy>Henrik Bechmann</cp:lastModifiedBy>
  <cp:lastPrinted>2009-05-28T22:11:26Z</cp:lastPrinted>
  <dcterms:created xsi:type="dcterms:W3CDTF">2009-05-28T17:30:09Z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